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4620" tabRatio="500"/>
  </bookViews>
  <sheets>
    <sheet name="Sheet1" sheetId="1" r:id="rId1"/>
  </sheets>
  <definedNames>
    <definedName name="coe">Sheet1!$B$30</definedName>
    <definedName name="depreciation">Sheet1!$B$25</definedName>
    <definedName name="ebitda_margin">Sheet1!$B$24</definedName>
    <definedName name="interest">Sheet1!$B$27</definedName>
    <definedName name="long_term_growth">Sheet1!$B$29</definedName>
    <definedName name="min_interest">Sheet1!$B$32</definedName>
    <definedName name="net_growth">Sheet1!$B$23</definedName>
    <definedName name="print_decline">Sheet1!$B$22</definedName>
    <definedName name="repayment">Sheet1!$B$28</definedName>
    <definedName name="shares">Sheet1!$B$31</definedName>
    <definedName name="tax">Sheet1!$B$26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46" i="1" l="1"/>
  <c r="C40" i="1"/>
  <c r="C41" i="1"/>
  <c r="C42" i="1"/>
  <c r="C43" i="1"/>
  <c r="C45" i="1"/>
  <c r="C47" i="1"/>
  <c r="C48" i="1"/>
  <c r="C53" i="1"/>
  <c r="C54" i="1"/>
  <c r="D51" i="1"/>
  <c r="D46" i="1"/>
  <c r="D40" i="1"/>
  <c r="D41" i="1"/>
  <c r="D42" i="1"/>
  <c r="D43" i="1"/>
  <c r="D45" i="1"/>
  <c r="D47" i="1"/>
  <c r="D48" i="1"/>
  <c r="D53" i="1"/>
  <c r="D54" i="1"/>
  <c r="E51" i="1"/>
  <c r="E46" i="1"/>
  <c r="E40" i="1"/>
  <c r="E41" i="1"/>
  <c r="E42" i="1"/>
  <c r="E43" i="1"/>
  <c r="E45" i="1"/>
  <c r="E47" i="1"/>
  <c r="E48" i="1"/>
  <c r="E53" i="1"/>
  <c r="E54" i="1"/>
  <c r="F51" i="1"/>
  <c r="F46" i="1"/>
  <c r="F40" i="1"/>
  <c r="F41" i="1"/>
  <c r="F42" i="1"/>
  <c r="F43" i="1"/>
  <c r="F45" i="1"/>
  <c r="F47" i="1"/>
  <c r="F48" i="1"/>
  <c r="F53" i="1"/>
  <c r="F54" i="1"/>
  <c r="G51" i="1"/>
  <c r="G46" i="1"/>
  <c r="G40" i="1"/>
  <c r="G41" i="1"/>
  <c r="G42" i="1"/>
  <c r="G43" i="1"/>
  <c r="G45" i="1"/>
  <c r="G47" i="1"/>
  <c r="G48" i="1"/>
  <c r="G53" i="1"/>
  <c r="G54" i="1"/>
  <c r="H51" i="1"/>
  <c r="H46" i="1"/>
  <c r="H40" i="1"/>
  <c r="H41" i="1"/>
  <c r="H42" i="1"/>
  <c r="H43" i="1"/>
  <c r="H45" i="1"/>
  <c r="H47" i="1"/>
  <c r="H48" i="1"/>
  <c r="H53" i="1"/>
  <c r="H54" i="1"/>
  <c r="I51" i="1"/>
  <c r="I46" i="1"/>
  <c r="I40" i="1"/>
  <c r="I41" i="1"/>
  <c r="I42" i="1"/>
  <c r="I43" i="1"/>
  <c r="I45" i="1"/>
  <c r="I47" i="1"/>
  <c r="I48" i="1"/>
  <c r="I53" i="1"/>
  <c r="I56" i="1"/>
  <c r="I54" i="1"/>
  <c r="J51" i="1"/>
  <c r="J46" i="1"/>
  <c r="J40" i="1"/>
  <c r="J41" i="1"/>
  <c r="J42" i="1"/>
  <c r="J43" i="1"/>
  <c r="J45" i="1"/>
  <c r="J47" i="1"/>
  <c r="J48" i="1"/>
  <c r="J53" i="1"/>
  <c r="J56" i="1"/>
  <c r="J54" i="1"/>
  <c r="K51" i="1"/>
  <c r="K46" i="1"/>
  <c r="K40" i="1"/>
  <c r="K41" i="1"/>
  <c r="K42" i="1"/>
  <c r="K43" i="1"/>
  <c r="K45" i="1"/>
  <c r="K47" i="1"/>
  <c r="K48" i="1"/>
  <c r="K53" i="1"/>
  <c r="K56" i="1"/>
  <c r="K54" i="1"/>
  <c r="L51" i="1"/>
  <c r="L46" i="1"/>
  <c r="L40" i="1"/>
  <c r="L41" i="1"/>
  <c r="L42" i="1"/>
  <c r="L43" i="1"/>
  <c r="L45" i="1"/>
  <c r="L47" i="1"/>
  <c r="L48" i="1"/>
  <c r="L53" i="1"/>
  <c r="L56" i="1"/>
  <c r="L54" i="1"/>
  <c r="M51" i="1"/>
  <c r="M46" i="1"/>
  <c r="M40" i="1"/>
  <c r="M41" i="1"/>
  <c r="M42" i="1"/>
  <c r="M43" i="1"/>
  <c r="M45" i="1"/>
  <c r="M47" i="1"/>
  <c r="M48" i="1"/>
  <c r="M53" i="1"/>
  <c r="M56" i="1"/>
  <c r="M54" i="1"/>
  <c r="N51" i="1"/>
  <c r="N46" i="1"/>
  <c r="N40" i="1"/>
  <c r="N41" i="1"/>
  <c r="N42" i="1"/>
  <c r="N43" i="1"/>
  <c r="N45" i="1"/>
  <c r="N47" i="1"/>
  <c r="N48" i="1"/>
  <c r="N53" i="1"/>
  <c r="N56" i="1"/>
  <c r="N54" i="1"/>
  <c r="O51" i="1"/>
  <c r="O46" i="1"/>
  <c r="O40" i="1"/>
  <c r="O41" i="1"/>
  <c r="O42" i="1"/>
  <c r="O43" i="1"/>
  <c r="O45" i="1"/>
  <c r="O47" i="1"/>
  <c r="O48" i="1"/>
  <c r="O53" i="1"/>
  <c r="O56" i="1"/>
  <c r="I35" i="1"/>
  <c r="I36" i="1"/>
  <c r="C56" i="1"/>
  <c r="D56" i="1"/>
  <c r="E56" i="1"/>
  <c r="F56" i="1"/>
  <c r="G56" i="1"/>
  <c r="H56" i="1"/>
  <c r="C35" i="1"/>
  <c r="C36" i="1"/>
  <c r="D35" i="1"/>
  <c r="D36" i="1"/>
  <c r="E35" i="1"/>
  <c r="E36" i="1"/>
  <c r="F35" i="1"/>
  <c r="F36" i="1"/>
  <c r="G35" i="1"/>
  <c r="G36" i="1"/>
  <c r="H35" i="1"/>
  <c r="H36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P56" i="1"/>
  <c r="B46" i="1"/>
  <c r="B43" i="1"/>
  <c r="B45" i="1"/>
  <c r="B47" i="1"/>
  <c r="B48" i="1"/>
  <c r="B56" i="1"/>
  <c r="C44" i="1"/>
  <c r="D44" i="1"/>
  <c r="E44" i="1"/>
  <c r="F44" i="1"/>
  <c r="G44" i="1"/>
  <c r="H44" i="1"/>
  <c r="I44" i="1"/>
  <c r="J44" i="1"/>
  <c r="K44" i="1"/>
  <c r="L44" i="1"/>
  <c r="M44" i="1"/>
  <c r="N44" i="1"/>
  <c r="O44" i="1"/>
  <c r="B42" i="1"/>
  <c r="B44" i="1"/>
  <c r="O60" i="1"/>
  <c r="C59" i="1"/>
  <c r="C38" i="1"/>
  <c r="D38" i="1"/>
  <c r="E38" i="1"/>
  <c r="F38" i="1"/>
  <c r="G38" i="1"/>
  <c r="H38" i="1"/>
  <c r="I38" i="1"/>
  <c r="J38" i="1"/>
  <c r="K38" i="1"/>
  <c r="L38" i="1"/>
  <c r="M38" i="1"/>
  <c r="N38" i="1"/>
  <c r="O38" i="1"/>
  <c r="B13" i="1"/>
  <c r="B14" i="1"/>
  <c r="D13" i="1"/>
  <c r="D14" i="1"/>
  <c r="E13" i="1"/>
  <c r="E14" i="1"/>
  <c r="F13" i="1"/>
  <c r="F14" i="1"/>
  <c r="G13" i="1"/>
  <c r="G14" i="1"/>
  <c r="H13" i="1"/>
  <c r="H14" i="1"/>
  <c r="I13" i="1"/>
  <c r="I14" i="1"/>
  <c r="J13" i="1"/>
  <c r="J14" i="1"/>
  <c r="K13" i="1"/>
  <c r="K14" i="1"/>
  <c r="L13" i="1"/>
  <c r="L14" i="1"/>
  <c r="M13" i="1"/>
  <c r="M14" i="1"/>
  <c r="N13" i="1"/>
  <c r="N14" i="1"/>
  <c r="O13" i="1"/>
  <c r="O14" i="1"/>
  <c r="P13" i="1"/>
  <c r="P14" i="1"/>
  <c r="Q13" i="1"/>
  <c r="Q14" i="1"/>
  <c r="R13" i="1"/>
  <c r="R14" i="1"/>
  <c r="S13" i="1"/>
  <c r="S14" i="1"/>
  <c r="T13" i="1"/>
  <c r="T14" i="1"/>
  <c r="U13" i="1"/>
  <c r="U14" i="1"/>
  <c r="V13" i="1"/>
  <c r="V14" i="1"/>
  <c r="C13" i="1"/>
  <c r="C14" i="1"/>
  <c r="P15" i="1"/>
  <c r="P18" i="1"/>
  <c r="P19" i="1"/>
  <c r="Q15" i="1"/>
  <c r="Q18" i="1"/>
  <c r="Q19" i="1"/>
  <c r="R15" i="1"/>
  <c r="R18" i="1"/>
  <c r="R19" i="1"/>
  <c r="S15" i="1"/>
  <c r="S18" i="1"/>
  <c r="S19" i="1"/>
  <c r="T15" i="1"/>
  <c r="T18" i="1"/>
  <c r="T19" i="1"/>
  <c r="U15" i="1"/>
  <c r="U18" i="1"/>
  <c r="U19" i="1"/>
  <c r="V15" i="1"/>
  <c r="V18" i="1"/>
  <c r="V19" i="1"/>
  <c r="O15" i="1"/>
  <c r="O18" i="1"/>
  <c r="O19" i="1"/>
  <c r="C15" i="1"/>
  <c r="C16" i="1"/>
  <c r="D15" i="1"/>
  <c r="D16" i="1"/>
  <c r="E15" i="1"/>
  <c r="E16" i="1"/>
  <c r="F15" i="1"/>
  <c r="F16" i="1"/>
  <c r="G15" i="1"/>
  <c r="G16" i="1"/>
  <c r="H15" i="1"/>
  <c r="H16" i="1"/>
  <c r="I15" i="1"/>
  <c r="I16" i="1"/>
  <c r="J15" i="1"/>
  <c r="J16" i="1"/>
  <c r="K15" i="1"/>
  <c r="K16" i="1"/>
  <c r="L15" i="1"/>
  <c r="L16" i="1"/>
  <c r="M15" i="1"/>
  <c r="M16" i="1"/>
  <c r="N15" i="1"/>
  <c r="N16" i="1"/>
  <c r="B15" i="1"/>
  <c r="B16" i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V17" i="1"/>
  <c r="B7" i="1"/>
  <c r="C7" i="1"/>
  <c r="A7" i="1"/>
  <c r="A6" i="1"/>
  <c r="G3" i="1"/>
  <c r="E3" i="1"/>
  <c r="F3" i="1"/>
  <c r="D3" i="1"/>
  <c r="C3" i="1"/>
  <c r="B3" i="1"/>
  <c r="D59" i="1"/>
  <c r="C60" i="1"/>
  <c r="B35" i="1"/>
  <c r="B36" i="1"/>
  <c r="O54" i="1"/>
  <c r="N60" i="1"/>
  <c r="M60" i="1"/>
  <c r="L60" i="1"/>
  <c r="K60" i="1"/>
  <c r="J60" i="1"/>
  <c r="I60" i="1"/>
  <c r="H60" i="1"/>
  <c r="G60" i="1"/>
  <c r="F60" i="1"/>
  <c r="E60" i="1"/>
  <c r="D60" i="1"/>
  <c r="O59" i="1"/>
  <c r="N59" i="1"/>
  <c r="M59" i="1"/>
  <c r="L59" i="1"/>
  <c r="K59" i="1"/>
  <c r="J59" i="1"/>
  <c r="I59" i="1"/>
  <c r="H59" i="1"/>
  <c r="G59" i="1"/>
  <c r="F59" i="1"/>
  <c r="E59" i="1"/>
</calcChain>
</file>

<file path=xl/sharedStrings.xml><?xml version="1.0" encoding="utf-8"?>
<sst xmlns="http://schemas.openxmlformats.org/spreadsheetml/2006/main" count="52" uniqueCount="45">
  <si>
    <t>EBITDA</t>
  </si>
  <si>
    <t>Rev</t>
  </si>
  <si>
    <t>DA</t>
  </si>
  <si>
    <t>Interest</t>
  </si>
  <si>
    <t>EBT</t>
  </si>
  <si>
    <t>Tax</t>
  </si>
  <si>
    <t>FCF</t>
  </si>
  <si>
    <t>Debt</t>
  </si>
  <si>
    <t>Q4 2011</t>
  </si>
  <si>
    <t>Q4 2012</t>
  </si>
  <si>
    <t>Q4 2013</t>
  </si>
  <si>
    <t>Q4 2014</t>
  </si>
  <si>
    <t>Q4 2015</t>
  </si>
  <si>
    <t>Q4 2016</t>
  </si>
  <si>
    <t>Debt Payment</t>
  </si>
  <si>
    <t>Dividend</t>
  </si>
  <si>
    <t>DPS</t>
  </si>
  <si>
    <t>Revenue</t>
  </si>
  <si>
    <t>EBIT</t>
  </si>
  <si>
    <t>NPAT</t>
  </si>
  <si>
    <t>Print decline</t>
  </si>
  <si>
    <t>Net growth</t>
  </si>
  <si>
    <t>Print</t>
  </si>
  <si>
    <t>Net</t>
  </si>
  <si>
    <t>EBITDA margin</t>
  </si>
  <si>
    <t>Depreciation</t>
  </si>
  <si>
    <t>Opening debt</t>
  </si>
  <si>
    <t>Repayment</t>
  </si>
  <si>
    <t>Closing debt</t>
  </si>
  <si>
    <t>Assumptions</t>
  </si>
  <si>
    <t>% repayment</t>
  </si>
  <si>
    <t>Interest coverage</t>
  </si>
  <si>
    <t>Solvency ratios</t>
  </si>
  <si>
    <t>Debt schedule</t>
  </si>
  <si>
    <t>P&amp;L</t>
  </si>
  <si>
    <t>Debt / EBITDA</t>
  </si>
  <si>
    <t>l-t growth</t>
  </si>
  <si>
    <t>cost of equity</t>
  </si>
  <si>
    <t>Terminal</t>
  </si>
  <si>
    <t>Output</t>
  </si>
  <si>
    <t>Intrinsic value</t>
  </si>
  <si>
    <t>Target price</t>
  </si>
  <si>
    <t>diluted shares</t>
  </si>
  <si>
    <t>minimum interest</t>
  </si>
  <si>
    <t>Cash to equity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</si>
</sst>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164" formatCode="#,##0;\ \(#,##0\);\ &quot;-&quot;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1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9" fontId="0" fillId="0" borderId="0" xfId="0" applyNumberFormat="1"/>
    <xf numFmtId="8" fontId="0" fillId="0" borderId="0" xfId="0" applyNumberFormat="1"/>
    <xf numFmtId="0" fontId="1" fillId="0" borderId="0" xfId="0" applyFont="1"/>
    <xf numFmtId="0" fontId="2" fillId="0" borderId="0" xfId="0" applyFont="1"/>
    <xf numFmtId="9" fontId="5" fillId="0" borderId="0" xfId="0" applyNumberFormat="1" applyFont="1"/>
    <xf numFmtId="0" fontId="5" fillId="0" borderId="0" xfId="0" applyFont="1"/>
    <xf numFmtId="164" fontId="0" fillId="0" borderId="0" xfId="0" applyNumberFormat="1"/>
    <xf numFmtId="0" fontId="0" fillId="0" borderId="0" xfId="0" applyAlignment="1">
      <alignment horizontal="left" indent="1"/>
    </xf>
    <xf numFmtId="0" fontId="0" fillId="0" borderId="1" xfId="0" applyBorder="1"/>
    <xf numFmtId="164" fontId="0" fillId="0" borderId="1" xfId="0" applyNumberFormat="1" applyBorder="1"/>
    <xf numFmtId="164" fontId="5" fillId="0" borderId="0" xfId="0" applyNumberFormat="1" applyFont="1"/>
    <xf numFmtId="0" fontId="0" fillId="0" borderId="0" xfId="0" applyBorder="1"/>
    <xf numFmtId="164" fontId="0" fillId="0" borderId="0" xfId="0" applyNumberFormat="1" applyBorder="1"/>
    <xf numFmtId="0" fontId="0" fillId="0" borderId="1" xfId="0" applyFont="1" applyBorder="1"/>
    <xf numFmtId="164" fontId="0" fillId="0" borderId="1" xfId="0" applyNumberFormat="1" applyFont="1" applyBorder="1"/>
    <xf numFmtId="0" fontId="0" fillId="0" borderId="0" xfId="0" applyFont="1"/>
    <xf numFmtId="0" fontId="1" fillId="2" borderId="0" xfId="0" applyFont="1" applyFill="1"/>
    <xf numFmtId="0" fontId="1" fillId="3" borderId="0" xfId="0" applyFont="1" applyFill="1" applyAlignment="1">
      <alignment horizontal="left" indent="1"/>
    </xf>
    <xf numFmtId="4" fontId="1" fillId="3" borderId="0" xfId="0" applyNumberFormat="1" applyFont="1" applyFill="1"/>
    <xf numFmtId="0" fontId="0" fillId="0" borderId="0" xfId="0" applyFill="1" applyBorder="1"/>
    <xf numFmtId="0" fontId="1" fillId="0" borderId="0" xfId="0" applyFont="1" applyFill="1" applyAlignment="1">
      <alignment horizontal="left" indent="1"/>
    </xf>
    <xf numFmtId="4" fontId="1" fillId="0" borderId="0" xfId="0" applyNumberFormat="1" applyFont="1" applyFill="1"/>
  </cellXfs>
  <cellStyles count="1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7"/>
  <sheetViews>
    <sheetView showGridLines="0" tabSelected="1" topLeftCell="A26" workbookViewId="0">
      <selection activeCell="B23" sqref="B23"/>
    </sheetView>
  </sheetViews>
  <sheetFormatPr baseColWidth="10" defaultRowHeight="15" x14ac:dyDescent="0"/>
  <cols>
    <col min="1" max="1" width="17.1640625" customWidth="1"/>
    <col min="4" max="4" width="10.83203125" customWidth="1"/>
  </cols>
  <sheetData>
    <row r="1" spans="1:22">
      <c r="B1">
        <v>2012</v>
      </c>
      <c r="C1">
        <v>2013</v>
      </c>
      <c r="D1">
        <v>2014</v>
      </c>
      <c r="E1">
        <v>2015</v>
      </c>
      <c r="F1">
        <v>2016</v>
      </c>
      <c r="G1">
        <v>2017</v>
      </c>
    </row>
    <row r="2" spans="1:22">
      <c r="B2">
        <v>650</v>
      </c>
      <c r="C2">
        <v>600</v>
      </c>
      <c r="D2">
        <v>550</v>
      </c>
      <c r="E2">
        <v>500</v>
      </c>
      <c r="F2">
        <v>500</v>
      </c>
      <c r="G2">
        <v>500</v>
      </c>
    </row>
    <row r="3" spans="1:22">
      <c r="B3">
        <f t="shared" ref="B3:G3" si="0">A4*0.07</f>
        <v>122.50000000000001</v>
      </c>
      <c r="C3">
        <f t="shared" si="0"/>
        <v>91.000000000000014</v>
      </c>
      <c r="D3">
        <f t="shared" si="0"/>
        <v>66.5</v>
      </c>
      <c r="E3">
        <f t="shared" si="0"/>
        <v>56.000000000000007</v>
      </c>
      <c r="F3">
        <f t="shared" si="0"/>
        <v>45.500000000000007</v>
      </c>
      <c r="G3">
        <f t="shared" si="0"/>
        <v>35</v>
      </c>
    </row>
    <row r="4" spans="1:22">
      <c r="A4">
        <v>1750</v>
      </c>
      <c r="B4">
        <v>1300</v>
      </c>
      <c r="C4">
        <v>950</v>
      </c>
      <c r="D4">
        <v>800</v>
      </c>
      <c r="E4">
        <v>650</v>
      </c>
      <c r="F4">
        <v>500</v>
      </c>
      <c r="G4">
        <v>350</v>
      </c>
    </row>
    <row r="5" spans="1:22">
      <c r="A5">
        <v>-100</v>
      </c>
      <c r="B5">
        <v>0</v>
      </c>
      <c r="C5">
        <v>0</v>
      </c>
      <c r="D5">
        <v>200</v>
      </c>
      <c r="E5">
        <v>300</v>
      </c>
      <c r="F5">
        <v>300</v>
      </c>
      <c r="G5">
        <v>300</v>
      </c>
      <c r="H5">
        <v>300</v>
      </c>
      <c r="I5">
        <v>300</v>
      </c>
      <c r="J5">
        <v>300</v>
      </c>
      <c r="K5">
        <v>300</v>
      </c>
      <c r="L5">
        <v>300</v>
      </c>
      <c r="M5">
        <v>300</v>
      </c>
      <c r="N5">
        <v>300</v>
      </c>
      <c r="O5">
        <v>300</v>
      </c>
    </row>
    <row r="6" spans="1:22">
      <c r="A6" s="1">
        <f>IRR(A5:L5)</f>
        <v>0.79183633073919579</v>
      </c>
      <c r="C6" s="4"/>
    </row>
    <row r="7" spans="1:22">
      <c r="A7" s="2">
        <f>NPV(20%,B5:L5)</f>
        <v>781.91431768398911</v>
      </c>
      <c r="B7" s="2">
        <f t="shared" ref="B7:C7" si="1">NPV(20%,C5:M5)</f>
        <v>978.67357694324824</v>
      </c>
      <c r="C7" s="2">
        <f t="shared" si="1"/>
        <v>1214.7846880543598</v>
      </c>
    </row>
    <row r="8" spans="1:22">
      <c r="B8" t="s">
        <v>8</v>
      </c>
      <c r="F8" t="s">
        <v>9</v>
      </c>
      <c r="J8" t="s">
        <v>10</v>
      </c>
      <c r="N8" t="s">
        <v>11</v>
      </c>
      <c r="R8" t="s">
        <v>12</v>
      </c>
      <c r="V8" t="s">
        <v>13</v>
      </c>
    </row>
    <row r="9" spans="1:22">
      <c r="A9" t="s">
        <v>1</v>
      </c>
    </row>
    <row r="10" spans="1:22">
      <c r="A10" t="s">
        <v>0</v>
      </c>
      <c r="B10">
        <v>160</v>
      </c>
      <c r="C10">
        <v>155</v>
      </c>
      <c r="D10">
        <v>150</v>
      </c>
      <c r="E10">
        <v>145</v>
      </c>
      <c r="F10">
        <v>140</v>
      </c>
      <c r="G10">
        <v>135</v>
      </c>
      <c r="H10">
        <v>130</v>
      </c>
      <c r="I10">
        <v>125</v>
      </c>
      <c r="J10">
        <v>125</v>
      </c>
      <c r="K10">
        <v>125</v>
      </c>
      <c r="L10">
        <v>120</v>
      </c>
      <c r="M10">
        <v>120</v>
      </c>
      <c r="N10">
        <v>110</v>
      </c>
      <c r="O10">
        <v>100</v>
      </c>
      <c r="P10">
        <v>100</v>
      </c>
      <c r="Q10">
        <v>90</v>
      </c>
      <c r="R10">
        <v>90</v>
      </c>
      <c r="S10">
        <v>90</v>
      </c>
      <c r="T10">
        <v>90</v>
      </c>
      <c r="U10">
        <v>90</v>
      </c>
      <c r="V10">
        <v>90</v>
      </c>
    </row>
    <row r="11" spans="1:22">
      <c r="A11" t="s">
        <v>2</v>
      </c>
      <c r="B11">
        <v>37</v>
      </c>
      <c r="C11">
        <v>37</v>
      </c>
      <c r="D11">
        <v>37</v>
      </c>
      <c r="E11">
        <v>37</v>
      </c>
      <c r="F11">
        <v>37</v>
      </c>
      <c r="G11">
        <v>37</v>
      </c>
      <c r="H11">
        <v>37</v>
      </c>
      <c r="I11">
        <v>37</v>
      </c>
      <c r="J11">
        <v>37</v>
      </c>
      <c r="K11">
        <v>37</v>
      </c>
      <c r="L11">
        <v>37</v>
      </c>
      <c r="M11">
        <v>37</v>
      </c>
      <c r="N11">
        <v>37</v>
      </c>
      <c r="O11">
        <v>37</v>
      </c>
      <c r="P11">
        <v>37</v>
      </c>
      <c r="Q11">
        <v>37</v>
      </c>
      <c r="R11">
        <v>37</v>
      </c>
      <c r="S11">
        <v>37</v>
      </c>
      <c r="T11">
        <v>37</v>
      </c>
      <c r="U11">
        <v>37</v>
      </c>
      <c r="V11">
        <v>37</v>
      </c>
    </row>
    <row r="12" spans="1:22">
      <c r="A12" t="s">
        <v>3</v>
      </c>
      <c r="B12">
        <v>33</v>
      </c>
      <c r="C12">
        <v>32</v>
      </c>
      <c r="D12">
        <v>31</v>
      </c>
      <c r="E12">
        <v>29</v>
      </c>
      <c r="F12">
        <v>28</v>
      </c>
      <c r="G12">
        <v>27</v>
      </c>
      <c r="H12">
        <v>25</v>
      </c>
      <c r="I12">
        <v>23</v>
      </c>
      <c r="J12">
        <v>20</v>
      </c>
      <c r="K12">
        <v>19</v>
      </c>
      <c r="L12">
        <v>17</v>
      </c>
      <c r="M12">
        <v>16</v>
      </c>
      <c r="N12">
        <v>16</v>
      </c>
      <c r="O12">
        <v>16</v>
      </c>
      <c r="P12">
        <v>16</v>
      </c>
      <c r="Q12">
        <v>16</v>
      </c>
      <c r="R12">
        <v>16</v>
      </c>
      <c r="S12">
        <v>16</v>
      </c>
      <c r="T12">
        <v>16</v>
      </c>
      <c r="U12">
        <v>16</v>
      </c>
      <c r="V12">
        <v>16</v>
      </c>
    </row>
    <row r="13" spans="1:22">
      <c r="A13" t="s">
        <v>4</v>
      </c>
      <c r="B13">
        <f>B10-B11-B12</f>
        <v>90</v>
      </c>
      <c r="C13">
        <f t="shared" ref="C13:M13" si="2">C10-C11-C12</f>
        <v>86</v>
      </c>
      <c r="D13">
        <f t="shared" si="2"/>
        <v>82</v>
      </c>
      <c r="E13">
        <f t="shared" si="2"/>
        <v>79</v>
      </c>
      <c r="F13">
        <f t="shared" si="2"/>
        <v>75</v>
      </c>
      <c r="G13">
        <f t="shared" si="2"/>
        <v>71</v>
      </c>
      <c r="H13">
        <f t="shared" si="2"/>
        <v>68</v>
      </c>
      <c r="I13">
        <f t="shared" si="2"/>
        <v>65</v>
      </c>
      <c r="J13">
        <f t="shared" si="2"/>
        <v>68</v>
      </c>
      <c r="K13">
        <f t="shared" si="2"/>
        <v>69</v>
      </c>
      <c r="L13">
        <f t="shared" si="2"/>
        <v>66</v>
      </c>
      <c r="M13">
        <f t="shared" si="2"/>
        <v>67</v>
      </c>
      <c r="N13">
        <f t="shared" ref="N13" si="3">N10-N11-N12</f>
        <v>57</v>
      </c>
      <c r="O13">
        <f t="shared" ref="O13" si="4">O10-O11-O12</f>
        <v>47</v>
      </c>
      <c r="P13">
        <f t="shared" ref="P13" si="5">P10-P11-P12</f>
        <v>47</v>
      </c>
      <c r="Q13">
        <f t="shared" ref="Q13" si="6">Q10-Q11-Q12</f>
        <v>37</v>
      </c>
      <c r="R13">
        <f t="shared" ref="R13" si="7">R10-R11-R12</f>
        <v>37</v>
      </c>
      <c r="S13">
        <f t="shared" ref="S13" si="8">S10-S11-S12</f>
        <v>37</v>
      </c>
      <c r="T13">
        <f t="shared" ref="T13" si="9">T10-T11-T12</f>
        <v>37</v>
      </c>
      <c r="U13">
        <f t="shared" ref="U13" si="10">U10-U11-U12</f>
        <v>37</v>
      </c>
      <c r="V13">
        <f t="shared" ref="V13" si="11">V10-V11-V12</f>
        <v>37</v>
      </c>
    </row>
    <row r="14" spans="1:22">
      <c r="A14" t="s">
        <v>5</v>
      </c>
      <c r="B14">
        <f>B13*0.3</f>
        <v>27</v>
      </c>
      <c r="C14">
        <f>C13*0.3</f>
        <v>25.8</v>
      </c>
      <c r="D14">
        <f t="shared" ref="D14:V14" si="12">D13*0.3</f>
        <v>24.599999999999998</v>
      </c>
      <c r="E14">
        <f t="shared" si="12"/>
        <v>23.7</v>
      </c>
      <c r="F14">
        <f t="shared" si="12"/>
        <v>22.5</v>
      </c>
      <c r="G14">
        <f t="shared" si="12"/>
        <v>21.3</v>
      </c>
      <c r="H14">
        <f t="shared" si="12"/>
        <v>20.399999999999999</v>
      </c>
      <c r="I14">
        <f t="shared" si="12"/>
        <v>19.5</v>
      </c>
      <c r="J14">
        <f t="shared" si="12"/>
        <v>20.399999999999999</v>
      </c>
      <c r="K14">
        <f t="shared" si="12"/>
        <v>20.7</v>
      </c>
      <c r="L14">
        <f t="shared" si="12"/>
        <v>19.8</v>
      </c>
      <c r="M14">
        <f t="shared" si="12"/>
        <v>20.099999999999998</v>
      </c>
      <c r="N14">
        <f t="shared" si="12"/>
        <v>17.099999999999998</v>
      </c>
      <c r="O14">
        <f t="shared" si="12"/>
        <v>14.1</v>
      </c>
      <c r="P14">
        <f t="shared" si="12"/>
        <v>14.1</v>
      </c>
      <c r="Q14">
        <f t="shared" si="12"/>
        <v>11.1</v>
      </c>
      <c r="R14">
        <f t="shared" si="12"/>
        <v>11.1</v>
      </c>
      <c r="S14">
        <f t="shared" si="12"/>
        <v>11.1</v>
      </c>
      <c r="T14">
        <f t="shared" si="12"/>
        <v>11.1</v>
      </c>
      <c r="U14">
        <f t="shared" si="12"/>
        <v>11.1</v>
      </c>
      <c r="V14">
        <f t="shared" si="12"/>
        <v>11.1</v>
      </c>
    </row>
    <row r="15" spans="1:22">
      <c r="A15" t="s">
        <v>6</v>
      </c>
      <c r="B15">
        <f>B10-B12-B14</f>
        <v>100</v>
      </c>
      <c r="C15">
        <f t="shared" ref="C15:M15" si="13">C10-C12-C14</f>
        <v>97.2</v>
      </c>
      <c r="D15">
        <f t="shared" si="13"/>
        <v>94.4</v>
      </c>
      <c r="E15">
        <f t="shared" si="13"/>
        <v>92.3</v>
      </c>
      <c r="F15">
        <f t="shared" si="13"/>
        <v>89.5</v>
      </c>
      <c r="G15">
        <f t="shared" si="13"/>
        <v>86.7</v>
      </c>
      <c r="H15">
        <f t="shared" si="13"/>
        <v>84.6</v>
      </c>
      <c r="I15">
        <f t="shared" si="13"/>
        <v>82.5</v>
      </c>
      <c r="J15">
        <f t="shared" si="13"/>
        <v>84.6</v>
      </c>
      <c r="K15">
        <f t="shared" si="13"/>
        <v>85.3</v>
      </c>
      <c r="L15">
        <f t="shared" si="13"/>
        <v>83.2</v>
      </c>
      <c r="M15">
        <f t="shared" si="13"/>
        <v>83.9</v>
      </c>
      <c r="N15">
        <f t="shared" ref="N15" si="14">N10-N12-N14</f>
        <v>76.900000000000006</v>
      </c>
      <c r="O15">
        <f t="shared" ref="O15" si="15">O10-O12-O14</f>
        <v>69.900000000000006</v>
      </c>
      <c r="P15">
        <f t="shared" ref="P15" si="16">P10-P12-P14</f>
        <v>69.900000000000006</v>
      </c>
      <c r="Q15">
        <f t="shared" ref="Q15" si="17">Q10-Q12-Q14</f>
        <v>62.9</v>
      </c>
      <c r="R15">
        <f t="shared" ref="R15" si="18">R10-R12-R14</f>
        <v>62.9</v>
      </c>
      <c r="S15">
        <f t="shared" ref="S15" si="19">S10-S12-S14</f>
        <v>62.9</v>
      </c>
      <c r="T15">
        <f t="shared" ref="T15" si="20">T10-T12-T14</f>
        <v>62.9</v>
      </c>
      <c r="U15">
        <f t="shared" ref="U15" si="21">U10-U12-U14</f>
        <v>62.9</v>
      </c>
      <c r="V15">
        <f t="shared" ref="V15" si="22">V10-V12-V14</f>
        <v>62.9</v>
      </c>
    </row>
    <row r="16" spans="1:22">
      <c r="A16" t="s">
        <v>14</v>
      </c>
      <c r="B16">
        <f>B15</f>
        <v>100</v>
      </c>
      <c r="C16">
        <f t="shared" ref="C16:N16" si="23">C15</f>
        <v>97.2</v>
      </c>
      <c r="D16">
        <f t="shared" si="23"/>
        <v>94.4</v>
      </c>
      <c r="E16">
        <f t="shared" si="23"/>
        <v>92.3</v>
      </c>
      <c r="F16">
        <f t="shared" si="23"/>
        <v>89.5</v>
      </c>
      <c r="G16">
        <f t="shared" si="23"/>
        <v>86.7</v>
      </c>
      <c r="H16">
        <f t="shared" si="23"/>
        <v>84.6</v>
      </c>
      <c r="I16">
        <f t="shared" si="23"/>
        <v>82.5</v>
      </c>
      <c r="J16">
        <f t="shared" si="23"/>
        <v>84.6</v>
      </c>
      <c r="K16">
        <f t="shared" si="23"/>
        <v>85.3</v>
      </c>
      <c r="L16">
        <f t="shared" si="23"/>
        <v>83.2</v>
      </c>
      <c r="M16">
        <f t="shared" si="23"/>
        <v>83.9</v>
      </c>
      <c r="N16">
        <f t="shared" si="23"/>
        <v>76.900000000000006</v>
      </c>
      <c r="O16">
        <v>25</v>
      </c>
      <c r="P16">
        <v>25</v>
      </c>
      <c r="Q16">
        <v>25</v>
      </c>
      <c r="R16">
        <v>25</v>
      </c>
      <c r="S16">
        <v>25</v>
      </c>
      <c r="T16">
        <v>25</v>
      </c>
      <c r="U16">
        <v>25</v>
      </c>
      <c r="V16">
        <v>25</v>
      </c>
    </row>
    <row r="17" spans="1:22">
      <c r="A17" t="s">
        <v>7</v>
      </c>
      <c r="B17">
        <f>1837-B15</f>
        <v>1737</v>
      </c>
      <c r="C17">
        <f>B17-C15</f>
        <v>1639.8</v>
      </c>
      <c r="D17">
        <f t="shared" ref="D17:N17" si="24">C17-D15</f>
        <v>1545.3999999999999</v>
      </c>
      <c r="E17">
        <f t="shared" si="24"/>
        <v>1453.1</v>
      </c>
      <c r="F17">
        <f t="shared" si="24"/>
        <v>1363.6</v>
      </c>
      <c r="G17">
        <f t="shared" si="24"/>
        <v>1276.8999999999999</v>
      </c>
      <c r="H17">
        <f t="shared" si="24"/>
        <v>1192.3</v>
      </c>
      <c r="I17">
        <f t="shared" si="24"/>
        <v>1109.8</v>
      </c>
      <c r="J17">
        <f t="shared" si="24"/>
        <v>1025.2</v>
      </c>
      <c r="K17">
        <f t="shared" si="24"/>
        <v>939.90000000000009</v>
      </c>
      <c r="L17">
        <f t="shared" si="24"/>
        <v>856.7</v>
      </c>
      <c r="M17">
        <f t="shared" si="24"/>
        <v>772.80000000000007</v>
      </c>
      <c r="N17">
        <f t="shared" si="24"/>
        <v>695.90000000000009</v>
      </c>
      <c r="O17">
        <f>N17-25</f>
        <v>670.90000000000009</v>
      </c>
      <c r="P17">
        <f t="shared" ref="P17:V17" si="25">O17-25</f>
        <v>645.90000000000009</v>
      </c>
      <c r="Q17">
        <f t="shared" si="25"/>
        <v>620.90000000000009</v>
      </c>
      <c r="R17">
        <f t="shared" si="25"/>
        <v>595.90000000000009</v>
      </c>
      <c r="S17">
        <f t="shared" si="25"/>
        <v>570.90000000000009</v>
      </c>
      <c r="T17">
        <f>S17-25</f>
        <v>545.90000000000009</v>
      </c>
      <c r="U17">
        <f t="shared" si="25"/>
        <v>520.90000000000009</v>
      </c>
      <c r="V17">
        <f t="shared" si="25"/>
        <v>495.90000000000009</v>
      </c>
    </row>
    <row r="18" spans="1:22">
      <c r="A18" t="s">
        <v>15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f>O15-O16</f>
        <v>44.900000000000006</v>
      </c>
      <c r="P18">
        <f t="shared" ref="P18:V18" si="26">P15-P16</f>
        <v>44.900000000000006</v>
      </c>
      <c r="Q18">
        <f t="shared" si="26"/>
        <v>37.9</v>
      </c>
      <c r="R18">
        <f t="shared" si="26"/>
        <v>37.9</v>
      </c>
      <c r="S18">
        <f t="shared" si="26"/>
        <v>37.9</v>
      </c>
      <c r="T18">
        <f t="shared" si="26"/>
        <v>37.9</v>
      </c>
      <c r="U18">
        <f t="shared" si="26"/>
        <v>37.9</v>
      </c>
      <c r="V18">
        <f t="shared" si="26"/>
        <v>37.9</v>
      </c>
    </row>
    <row r="19" spans="1:22">
      <c r="A19" t="s">
        <v>16</v>
      </c>
      <c r="O19">
        <f>O18/600</f>
        <v>7.4833333333333349E-2</v>
      </c>
      <c r="P19">
        <f t="shared" ref="P19:V19" si="27">P18/600</f>
        <v>7.4833333333333349E-2</v>
      </c>
      <c r="Q19">
        <f t="shared" si="27"/>
        <v>6.3166666666666663E-2</v>
      </c>
      <c r="R19">
        <f t="shared" si="27"/>
        <v>6.3166666666666663E-2</v>
      </c>
      <c r="S19">
        <f t="shared" si="27"/>
        <v>6.3166666666666663E-2</v>
      </c>
      <c r="T19">
        <f t="shared" si="27"/>
        <v>6.3166666666666663E-2</v>
      </c>
      <c r="U19">
        <f t="shared" si="27"/>
        <v>6.3166666666666663E-2</v>
      </c>
      <c r="V19">
        <f t="shared" si="27"/>
        <v>6.3166666666666663E-2</v>
      </c>
    </row>
    <row r="21" spans="1:22">
      <c r="A21" s="17" t="s">
        <v>29</v>
      </c>
    </row>
    <row r="22" spans="1:22">
      <c r="A22" s="8" t="s">
        <v>20</v>
      </c>
      <c r="B22" s="5">
        <v>0.1</v>
      </c>
    </row>
    <row r="23" spans="1:22">
      <c r="A23" s="8" t="s">
        <v>21</v>
      </c>
      <c r="B23" s="5">
        <v>0.25</v>
      </c>
    </row>
    <row r="24" spans="1:22">
      <c r="A24" s="8" t="s">
        <v>24</v>
      </c>
      <c r="B24" s="5">
        <v>0.5</v>
      </c>
    </row>
    <row r="25" spans="1:22">
      <c r="A25" s="8" t="s">
        <v>25</v>
      </c>
      <c r="B25" s="11">
        <v>89</v>
      </c>
    </row>
    <row r="26" spans="1:22">
      <c r="A26" s="8" t="s">
        <v>5</v>
      </c>
      <c r="B26" s="5">
        <v>0.3</v>
      </c>
    </row>
    <row r="27" spans="1:22">
      <c r="A27" s="8" t="s">
        <v>3</v>
      </c>
      <c r="B27" s="5">
        <v>7.0000000000000007E-2</v>
      </c>
    </row>
    <row r="28" spans="1:22">
      <c r="A28" s="8" t="s">
        <v>30</v>
      </c>
      <c r="B28" s="5">
        <v>0.7</v>
      </c>
    </row>
    <row r="29" spans="1:22">
      <c r="A29" s="8" t="s">
        <v>36</v>
      </c>
      <c r="B29" s="5">
        <v>0</v>
      </c>
    </row>
    <row r="30" spans="1:22">
      <c r="A30" s="8" t="s">
        <v>37</v>
      </c>
      <c r="B30" s="5">
        <v>0.15</v>
      </c>
    </row>
    <row r="31" spans="1:22">
      <c r="A31" s="8" t="s">
        <v>42</v>
      </c>
      <c r="B31" s="11">
        <v>625</v>
      </c>
    </row>
    <row r="32" spans="1:22">
      <c r="A32" s="8" t="s">
        <v>43</v>
      </c>
      <c r="B32" s="11">
        <v>75</v>
      </c>
    </row>
    <row r="33" spans="1:16">
      <c r="A33" s="8"/>
      <c r="B33" s="11"/>
    </row>
    <row r="34" spans="1:16">
      <c r="A34" s="17" t="s">
        <v>39</v>
      </c>
    </row>
    <row r="35" spans="1:16">
      <c r="A35" s="8" t="s">
        <v>40</v>
      </c>
      <c r="B35" s="7">
        <f>NPV(coe,B56:P56)</f>
        <v>2502.756531058822</v>
      </c>
      <c r="C35" s="7">
        <f>NPV(coe,C56:Q56)</f>
        <v>2482.220010717645</v>
      </c>
      <c r="D35" s="7">
        <f>NPV(coe,D56:R56)</f>
        <v>2738.3930123252917</v>
      </c>
      <c r="E35" s="7">
        <f>NPV(coe,E56:S56)</f>
        <v>3028.613926174085</v>
      </c>
      <c r="F35" s="7">
        <f>NPV(coe,F56:T56)</f>
        <v>3354.4338348967976</v>
      </c>
      <c r="G35" s="7">
        <f>NPV(coe,G56:U56)</f>
        <v>3719.5441132563169</v>
      </c>
      <c r="H35" s="7">
        <f>NPV(coe,H56:V56)</f>
        <v>4127.0839091510143</v>
      </c>
      <c r="I35" s="7">
        <f>NPV(coe,I56:W56)</f>
        <v>4410.2929815646912</v>
      </c>
      <c r="J35" s="7"/>
      <c r="K35" s="7"/>
      <c r="L35" s="7"/>
      <c r="M35" s="7"/>
      <c r="N35" s="7"/>
      <c r="O35" s="7"/>
    </row>
    <row r="36" spans="1:16">
      <c r="A36" s="18" t="s">
        <v>41</v>
      </c>
      <c r="B36" s="19">
        <f>B35/shares</f>
        <v>4.0044104496941149</v>
      </c>
      <c r="C36" s="19">
        <f>C35/shares</f>
        <v>3.9715520171482321</v>
      </c>
      <c r="D36" s="19">
        <f>D35/shares</f>
        <v>4.3814288197204663</v>
      </c>
      <c r="E36" s="19">
        <f>E35/shares</f>
        <v>4.8457822818785363</v>
      </c>
      <c r="F36" s="19">
        <f>F35/shares</f>
        <v>5.3670941358348765</v>
      </c>
      <c r="G36" s="19">
        <f>G35/shares</f>
        <v>5.9512705812101068</v>
      </c>
      <c r="H36" s="19">
        <f>H35/shares</f>
        <v>6.6033342546416227</v>
      </c>
      <c r="I36" s="19">
        <f>I35/shares</f>
        <v>7.0564687705035061</v>
      </c>
      <c r="J36" s="19"/>
      <c r="K36" s="19"/>
      <c r="L36" s="19"/>
      <c r="M36" s="19"/>
      <c r="N36" s="19"/>
      <c r="O36" s="19"/>
    </row>
    <row r="37" spans="1:16">
      <c r="A37" s="21"/>
      <c r="B37" s="22"/>
    </row>
    <row r="38" spans="1:16">
      <c r="B38" s="3">
        <v>2011</v>
      </c>
      <c r="C38" s="3">
        <f>B38+1</f>
        <v>2012</v>
      </c>
      <c r="D38" s="3">
        <f t="shared" ref="D38:O38" si="28">C38+1</f>
        <v>2013</v>
      </c>
      <c r="E38" s="3">
        <f t="shared" si="28"/>
        <v>2014</v>
      </c>
      <c r="F38" s="3">
        <f t="shared" si="28"/>
        <v>2015</v>
      </c>
      <c r="G38" s="3">
        <f t="shared" si="28"/>
        <v>2016</v>
      </c>
      <c r="H38" s="3">
        <f t="shared" si="28"/>
        <v>2017</v>
      </c>
      <c r="I38" s="3">
        <f t="shared" si="28"/>
        <v>2018</v>
      </c>
      <c r="J38" s="3">
        <f t="shared" si="28"/>
        <v>2019</v>
      </c>
      <c r="K38" s="3">
        <f t="shared" si="28"/>
        <v>2020</v>
      </c>
      <c r="L38" s="3">
        <f t="shared" si="28"/>
        <v>2021</v>
      </c>
      <c r="M38" s="3">
        <f t="shared" si="28"/>
        <v>2022</v>
      </c>
      <c r="N38" s="3">
        <f t="shared" si="28"/>
        <v>2023</v>
      </c>
      <c r="O38" s="3">
        <f t="shared" si="28"/>
        <v>2024</v>
      </c>
      <c r="P38" s="3" t="s">
        <v>38</v>
      </c>
    </row>
    <row r="39" spans="1:16">
      <c r="A39" s="17" t="s">
        <v>34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pans="1:16">
      <c r="A40" s="8" t="s">
        <v>22</v>
      </c>
      <c r="B40" s="11">
        <v>1000</v>
      </c>
      <c r="C40" s="7">
        <f>B40*(1-print_decline)</f>
        <v>900</v>
      </c>
      <c r="D40" s="7">
        <f>C40*(1-print_decline)</f>
        <v>810</v>
      </c>
      <c r="E40" s="7">
        <f>D40*(1-print_decline)</f>
        <v>729</v>
      </c>
      <c r="F40" s="7">
        <f>E40*(1-print_decline)</f>
        <v>656.1</v>
      </c>
      <c r="G40" s="7">
        <f>F40*(1-print_decline)</f>
        <v>590.49</v>
      </c>
      <c r="H40" s="7">
        <f>G40*(1-print_decline)</f>
        <v>531.44100000000003</v>
      </c>
      <c r="I40" s="7">
        <f>H40*(1-print_decline)</f>
        <v>478.29690000000005</v>
      </c>
      <c r="J40" s="7">
        <f>I40*(1-print_decline)</f>
        <v>430.46721000000008</v>
      </c>
      <c r="K40" s="7">
        <f>J40*(1-print_decline)</f>
        <v>387.42048900000009</v>
      </c>
      <c r="L40" s="7">
        <f>K40*(1-print_decline)</f>
        <v>348.6784401000001</v>
      </c>
      <c r="M40" s="7">
        <f>L40*(1-print_decline)</f>
        <v>313.8105960900001</v>
      </c>
      <c r="N40" s="7">
        <f>M40*(1-print_decline)</f>
        <v>282.42953648100013</v>
      </c>
      <c r="O40" s="7">
        <f>N40*(1-print_decline)</f>
        <v>254.18658283290011</v>
      </c>
    </row>
    <row r="41" spans="1:16">
      <c r="A41" s="8" t="s">
        <v>23</v>
      </c>
      <c r="B41" s="6">
        <v>300</v>
      </c>
      <c r="C41" s="7">
        <f>B41*(1+net_growth)</f>
        <v>375</v>
      </c>
      <c r="D41" s="7">
        <f>C41*(1+net_growth)</f>
        <v>468.75</v>
      </c>
      <c r="E41" s="7">
        <f>D41*(1+net_growth)</f>
        <v>585.9375</v>
      </c>
      <c r="F41" s="7">
        <f>E41*(1+net_growth)</f>
        <v>732.421875</v>
      </c>
      <c r="G41" s="7">
        <f>F41*(1+net_growth)</f>
        <v>915.52734375</v>
      </c>
      <c r="H41" s="7">
        <f>G41*(1+net_growth)</f>
        <v>1144.4091796875</v>
      </c>
      <c r="I41" s="7">
        <f>H41*(1+net_growth)</f>
        <v>1430.511474609375</v>
      </c>
      <c r="J41" s="7">
        <f>I41*(1+net_growth)</f>
        <v>1788.1393432617188</v>
      </c>
      <c r="K41" s="7">
        <f>J41*(1+net_growth)</f>
        <v>2235.1741790771484</v>
      </c>
      <c r="L41" s="7">
        <f>K41*(1+net_growth)</f>
        <v>2793.9677238464355</v>
      </c>
      <c r="M41" s="7">
        <f>L41*(1+net_growth)</f>
        <v>3492.4596548080444</v>
      </c>
      <c r="N41" s="7">
        <f>M41*(1+net_growth)</f>
        <v>4365.5745685100555</v>
      </c>
      <c r="O41" s="7">
        <f>N41*(1+net_growth)</f>
        <v>5456.9682106375694</v>
      </c>
    </row>
    <row r="42" spans="1:16" s="16" customFormat="1">
      <c r="A42" s="14" t="s">
        <v>17</v>
      </c>
      <c r="B42" s="15">
        <f>SUM(B40:B41)</f>
        <v>1300</v>
      </c>
      <c r="C42" s="15">
        <f t="shared" ref="C42:I42" si="29">SUM(C40:C41)</f>
        <v>1275</v>
      </c>
      <c r="D42" s="15">
        <f t="shared" si="29"/>
        <v>1278.75</v>
      </c>
      <c r="E42" s="15">
        <f t="shared" si="29"/>
        <v>1314.9375</v>
      </c>
      <c r="F42" s="15">
        <f t="shared" si="29"/>
        <v>1388.5218749999999</v>
      </c>
      <c r="G42" s="15">
        <f t="shared" si="29"/>
        <v>1506.01734375</v>
      </c>
      <c r="H42" s="15">
        <f t="shared" si="29"/>
        <v>1675.8501796875</v>
      </c>
      <c r="I42" s="15">
        <f t="shared" si="29"/>
        <v>1908.8083746093751</v>
      </c>
      <c r="J42" s="15">
        <f t="shared" ref="J42" si="30">SUM(J40:J41)</f>
        <v>2218.606553261719</v>
      </c>
      <c r="K42" s="15">
        <f t="shared" ref="K42" si="31">SUM(K40:K41)</f>
        <v>2622.5946680771485</v>
      </c>
      <c r="L42" s="15">
        <f t="shared" ref="L42" si="32">SUM(L40:L41)</f>
        <v>3142.6461639464355</v>
      </c>
      <c r="M42" s="15">
        <f t="shared" ref="M42" si="33">SUM(M40:M41)</f>
        <v>3806.2702508980447</v>
      </c>
      <c r="N42" s="15">
        <f t="shared" ref="N42" si="34">SUM(N40:N41)</f>
        <v>4648.004104991056</v>
      </c>
      <c r="O42" s="15">
        <f t="shared" ref="O42" si="35">SUM(O40:O41)</f>
        <v>5711.1547934704695</v>
      </c>
    </row>
    <row r="43" spans="1:16">
      <c r="A43" t="s">
        <v>0</v>
      </c>
      <c r="B43" s="7">
        <f>B42*ebitda_margin</f>
        <v>650</v>
      </c>
      <c r="C43" s="7">
        <f>C42*ebitda_margin</f>
        <v>637.5</v>
      </c>
      <c r="D43" s="7">
        <f>D42*ebitda_margin</f>
        <v>639.375</v>
      </c>
      <c r="E43" s="7">
        <f>E42*ebitda_margin</f>
        <v>657.46875</v>
      </c>
      <c r="F43" s="7">
        <f>F42*ebitda_margin</f>
        <v>694.26093749999995</v>
      </c>
      <c r="G43" s="7">
        <f>G42*ebitda_margin</f>
        <v>753.008671875</v>
      </c>
      <c r="H43" s="7">
        <f>H42*ebitda_margin</f>
        <v>837.92508984375002</v>
      </c>
      <c r="I43" s="7">
        <f>I42*ebitda_margin</f>
        <v>954.40418730468753</v>
      </c>
      <c r="J43" s="7">
        <f>J42*ebitda_margin</f>
        <v>1109.3032766308595</v>
      </c>
      <c r="K43" s="7">
        <f>K42*ebitda_margin</f>
        <v>1311.2973340385743</v>
      </c>
      <c r="L43" s="7">
        <f>L42*ebitda_margin</f>
        <v>1571.3230819732178</v>
      </c>
      <c r="M43" s="7">
        <f>M42*ebitda_margin</f>
        <v>1903.1351254490223</v>
      </c>
      <c r="N43" s="7">
        <f>N42*ebitda_margin</f>
        <v>2324.002052495528</v>
      </c>
      <c r="O43" s="7">
        <f>O42*ebitda_margin</f>
        <v>2855.5773967352347</v>
      </c>
      <c r="P43" s="7"/>
    </row>
    <row r="44" spans="1:16">
      <c r="A44" s="8" t="s">
        <v>2</v>
      </c>
      <c r="B44" s="7">
        <f>-depreciation</f>
        <v>-89</v>
      </c>
      <c r="C44" s="7">
        <f>-depreciation</f>
        <v>-89</v>
      </c>
      <c r="D44" s="7">
        <f>-depreciation</f>
        <v>-89</v>
      </c>
      <c r="E44" s="7">
        <f>-depreciation</f>
        <v>-89</v>
      </c>
      <c r="F44" s="7">
        <f>-depreciation</f>
        <v>-89</v>
      </c>
      <c r="G44" s="7">
        <f>-depreciation</f>
        <v>-89</v>
      </c>
      <c r="H44" s="7">
        <f>-depreciation</f>
        <v>-89</v>
      </c>
      <c r="I44" s="7">
        <f>-depreciation</f>
        <v>-89</v>
      </c>
      <c r="J44" s="7">
        <f>-depreciation</f>
        <v>-89</v>
      </c>
      <c r="K44" s="7">
        <f>-depreciation</f>
        <v>-89</v>
      </c>
      <c r="L44" s="7">
        <f>-depreciation</f>
        <v>-89</v>
      </c>
      <c r="M44" s="7">
        <f>-depreciation</f>
        <v>-89</v>
      </c>
      <c r="N44" s="7">
        <f>-depreciation</f>
        <v>-89</v>
      </c>
      <c r="O44" s="7">
        <f>-depreciation</f>
        <v>-89</v>
      </c>
    </row>
    <row r="45" spans="1:16">
      <c r="A45" t="s">
        <v>18</v>
      </c>
      <c r="B45" s="7">
        <f>SUM(B43:B44)</f>
        <v>561</v>
      </c>
      <c r="C45" s="7">
        <f>SUM(C43:C44)</f>
        <v>548.5</v>
      </c>
      <c r="D45" s="7">
        <f t="shared" ref="D45:I45" si="36">SUM(D43:D44)</f>
        <v>550.375</v>
      </c>
      <c r="E45" s="7">
        <f t="shared" si="36"/>
        <v>568.46875</v>
      </c>
      <c r="F45" s="7">
        <f t="shared" si="36"/>
        <v>605.26093749999995</v>
      </c>
      <c r="G45" s="7">
        <f t="shared" si="36"/>
        <v>664.008671875</v>
      </c>
      <c r="H45" s="7">
        <f t="shared" si="36"/>
        <v>748.92508984375002</v>
      </c>
      <c r="I45" s="7">
        <f t="shared" si="36"/>
        <v>865.40418730468753</v>
      </c>
      <c r="J45" s="7">
        <f t="shared" ref="J45" si="37">SUM(J43:J44)</f>
        <v>1020.3032766308595</v>
      </c>
      <c r="K45" s="7">
        <f t="shared" ref="K45" si="38">SUM(K43:K44)</f>
        <v>1222.2973340385743</v>
      </c>
      <c r="L45" s="7">
        <f t="shared" ref="L45" si="39">SUM(L43:L44)</f>
        <v>1482.3230819732178</v>
      </c>
      <c r="M45" s="7">
        <f t="shared" ref="M45" si="40">SUM(M43:M44)</f>
        <v>1814.1351254490223</v>
      </c>
      <c r="N45" s="7">
        <f t="shared" ref="N45" si="41">SUM(N43:N44)</f>
        <v>2235.002052495528</v>
      </c>
      <c r="O45" s="7">
        <f t="shared" ref="O45" si="42">SUM(O43:O44)</f>
        <v>2766.5773967352347</v>
      </c>
    </row>
    <row r="46" spans="1:16">
      <c r="A46" s="8" t="s">
        <v>3</v>
      </c>
      <c r="B46" s="7">
        <f>-MAX(interest*C51,min_interest)</f>
        <v>-122.50000000000001</v>
      </c>
      <c r="C46" s="7">
        <f>-MAX(interest*C51,min_interest)</f>
        <v>-122.50000000000001</v>
      </c>
      <c r="D46" s="7">
        <f>-MAX(interest*D51,min_interest)</f>
        <v>-103.52720000000001</v>
      </c>
      <c r="E46" s="7">
        <f>-MAX(interest*E51,min_interest)</f>
        <v>-83.83932046000001</v>
      </c>
      <c r="F46" s="7">
        <f>-MAX(interest*F51,min_interest)</f>
        <v>-75</v>
      </c>
      <c r="G46" s="7">
        <f>-MAX(interest*G51,min_interest)</f>
        <v>-75</v>
      </c>
      <c r="H46" s="7">
        <f>-MAX(interest*H51,min_interest)</f>
        <v>-75</v>
      </c>
      <c r="I46" s="7">
        <f>-MAX(interest*I51,min_interest)</f>
        <v>-75</v>
      </c>
      <c r="J46" s="7">
        <f>-MAX(interest*J51,min_interest)</f>
        <v>-75</v>
      </c>
      <c r="K46" s="7">
        <f>-MAX(interest*K51,min_interest)</f>
        <v>-75</v>
      </c>
      <c r="L46" s="7">
        <f>-MAX(interest*L51,min_interest)</f>
        <v>-75</v>
      </c>
      <c r="M46" s="7">
        <f>-MAX(interest*M51,min_interest)</f>
        <v>-75</v>
      </c>
      <c r="N46" s="7">
        <f>-MAX(interest*N51,min_interest)</f>
        <v>-75</v>
      </c>
      <c r="O46" s="7">
        <f>-MAX(interest*O51,min_interest)</f>
        <v>-75</v>
      </c>
    </row>
    <row r="47" spans="1:16">
      <c r="A47" s="8" t="s">
        <v>5</v>
      </c>
      <c r="B47" s="7">
        <f>-tax*SUM(B45:B46)</f>
        <v>-131.54999999999998</v>
      </c>
      <c r="C47" s="7">
        <f>-tax*SUM(C45:C46)</f>
        <v>-127.8</v>
      </c>
      <c r="D47" s="7">
        <f>-tax*SUM(D45:D46)</f>
        <v>-134.05434</v>
      </c>
      <c r="E47" s="7">
        <f>-tax*SUM(E45:E46)</f>
        <v>-145.388828862</v>
      </c>
      <c r="F47" s="7">
        <f>-tax*SUM(F45:F46)</f>
        <v>-159.07828124999997</v>
      </c>
      <c r="G47" s="7">
        <f>-tax*SUM(G45:G46)</f>
        <v>-176.70260156250001</v>
      </c>
      <c r="H47" s="7">
        <f>-tax*SUM(H45:H46)</f>
        <v>-202.17752695312501</v>
      </c>
      <c r="I47" s="7">
        <f>-tax*SUM(I45:I46)</f>
        <v>-237.12125619140625</v>
      </c>
      <c r="J47" s="7">
        <f>-tax*SUM(J45:J46)</f>
        <v>-283.59098298925784</v>
      </c>
      <c r="K47" s="7">
        <f>-tax*SUM(K45:K46)</f>
        <v>-344.18920021157226</v>
      </c>
      <c r="L47" s="7">
        <f>-tax*SUM(L45:L46)</f>
        <v>-422.19692459196534</v>
      </c>
      <c r="M47" s="7">
        <f>-tax*SUM(M45:M46)</f>
        <v>-521.7405376347067</v>
      </c>
      <c r="N47" s="7">
        <f>-tax*SUM(N45:N46)</f>
        <v>-648.00061574865833</v>
      </c>
      <c r="O47" s="7">
        <f>-tax*SUM(O45:O46)</f>
        <v>-807.47321902057035</v>
      </c>
    </row>
    <row r="48" spans="1:16">
      <c r="A48" s="9" t="s">
        <v>19</v>
      </c>
      <c r="B48" s="10">
        <f>SUM(B45:B47)</f>
        <v>306.95000000000005</v>
      </c>
      <c r="C48" s="10">
        <f>SUM(C45:C47)</f>
        <v>298.2</v>
      </c>
      <c r="D48" s="10">
        <f t="shared" ref="D48:O48" si="43">SUM(D45:D47)</f>
        <v>312.79345999999998</v>
      </c>
      <c r="E48" s="10">
        <f t="shared" si="43"/>
        <v>339.24060067799996</v>
      </c>
      <c r="F48" s="10">
        <f t="shared" si="43"/>
        <v>371.18265624999998</v>
      </c>
      <c r="G48" s="10">
        <f t="shared" si="43"/>
        <v>412.30607031249997</v>
      </c>
      <c r="H48" s="10">
        <f t="shared" si="43"/>
        <v>471.74756289062498</v>
      </c>
      <c r="I48" s="10">
        <f t="shared" si="43"/>
        <v>553.28293111328128</v>
      </c>
      <c r="J48" s="10">
        <f t="shared" si="43"/>
        <v>661.71229364160172</v>
      </c>
      <c r="K48" s="10">
        <f t="shared" si="43"/>
        <v>803.10813382700201</v>
      </c>
      <c r="L48" s="10">
        <f t="shared" si="43"/>
        <v>985.12615738125237</v>
      </c>
      <c r="M48" s="10">
        <f t="shared" si="43"/>
        <v>1217.3945878143156</v>
      </c>
      <c r="N48" s="10">
        <f t="shared" si="43"/>
        <v>1512.0014367468698</v>
      </c>
      <c r="O48" s="10">
        <f t="shared" si="43"/>
        <v>1884.1041777146643</v>
      </c>
    </row>
    <row r="49" spans="1:16">
      <c r="A49" s="12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</row>
    <row r="50" spans="1:16">
      <c r="A50" s="17" t="s">
        <v>33</v>
      </c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</row>
    <row r="51" spans="1:16">
      <c r="A51" t="s">
        <v>26</v>
      </c>
      <c r="B51" s="6"/>
      <c r="C51" s="6">
        <v>1750</v>
      </c>
      <c r="D51" s="7">
        <f>C54</f>
        <v>1478.96</v>
      </c>
      <c r="E51" s="7">
        <f t="shared" ref="E51:O51" si="44">D54</f>
        <v>1197.7045780000001</v>
      </c>
      <c r="F51" s="7">
        <f t="shared" si="44"/>
        <v>897.93615752540018</v>
      </c>
      <c r="G51" s="7">
        <f t="shared" si="44"/>
        <v>575.80829815040022</v>
      </c>
      <c r="H51" s="7">
        <f t="shared" si="44"/>
        <v>224.89404893165027</v>
      </c>
      <c r="I51" s="7">
        <f t="shared" si="44"/>
        <v>0</v>
      </c>
      <c r="J51" s="7">
        <f t="shared" si="44"/>
        <v>0</v>
      </c>
      <c r="K51" s="7">
        <f t="shared" si="44"/>
        <v>0</v>
      </c>
      <c r="L51" s="7">
        <f t="shared" si="44"/>
        <v>0</v>
      </c>
      <c r="M51" s="7">
        <f t="shared" si="44"/>
        <v>0</v>
      </c>
      <c r="N51" s="7">
        <f t="shared" si="44"/>
        <v>0</v>
      </c>
      <c r="O51" s="7">
        <f t="shared" si="44"/>
        <v>0</v>
      </c>
    </row>
    <row r="52" spans="1:16">
      <c r="A52" s="8" t="s">
        <v>3</v>
      </c>
      <c r="B52" s="7"/>
      <c r="C52" s="7">
        <f>-interest*C51</f>
        <v>-122.50000000000001</v>
      </c>
      <c r="D52" s="7">
        <f>-interest*D51</f>
        <v>-103.52720000000001</v>
      </c>
      <c r="E52" s="7">
        <f>-interest*E51</f>
        <v>-83.83932046000001</v>
      </c>
      <c r="F52" s="7">
        <f>-interest*F51</f>
        <v>-62.855531026778017</v>
      </c>
      <c r="G52" s="7">
        <f>-interest*G51</f>
        <v>-40.306580870528016</v>
      </c>
      <c r="H52" s="7">
        <f>-interest*H51</f>
        <v>-15.742583425215521</v>
      </c>
      <c r="I52" s="7">
        <f>-interest*I51</f>
        <v>0</v>
      </c>
      <c r="J52" s="7">
        <f>-interest*J51</f>
        <v>0</v>
      </c>
      <c r="K52" s="7">
        <f>-interest*K51</f>
        <v>0</v>
      </c>
      <c r="L52" s="7">
        <f>-interest*L51</f>
        <v>0</v>
      </c>
      <c r="M52" s="7">
        <f>-interest*M51</f>
        <v>0</v>
      </c>
      <c r="N52" s="7">
        <f>-interest*N51</f>
        <v>0</v>
      </c>
      <c r="O52" s="7">
        <f>-interest*O51</f>
        <v>0</v>
      </c>
      <c r="P52" s="7"/>
    </row>
    <row r="53" spans="1:16">
      <c r="A53" s="8" t="s">
        <v>27</v>
      </c>
      <c r="B53" s="7"/>
      <c r="C53" s="7">
        <f>MAX(-repayment*(C48-C44),-C51)</f>
        <v>-271.03999999999996</v>
      </c>
      <c r="D53" s="7">
        <f>MAX(-repayment*(D48-D44),-D51)</f>
        <v>-281.25542199999995</v>
      </c>
      <c r="E53" s="7">
        <f>MAX(-repayment*(E48-E44),-E51)</f>
        <v>-299.76842047459996</v>
      </c>
      <c r="F53" s="7">
        <f>MAX(-repayment*(F48-F44),-F51)</f>
        <v>-322.12785937499996</v>
      </c>
      <c r="G53" s="7">
        <f>MAX(-repayment*(G48-G44),-G51)</f>
        <v>-350.91424921874994</v>
      </c>
      <c r="H53" s="7">
        <f>MAX(-repayment*(H48-H44),-H51)</f>
        <v>-224.89404893165027</v>
      </c>
      <c r="I53" s="7">
        <f>MAX(-repayment*(I48-I44),-I51)</f>
        <v>0</v>
      </c>
      <c r="J53" s="7">
        <f>MAX(-repayment*(J48-J44),-J51)</f>
        <v>0</v>
      </c>
      <c r="K53" s="7">
        <f>MAX(-repayment*(K48-K44),-K51)</f>
        <v>0</v>
      </c>
      <c r="L53" s="7">
        <f>MAX(-repayment*(L48-L44),-L51)</f>
        <v>0</v>
      </c>
      <c r="M53" s="7">
        <f>MAX(-repayment*(M48-M44),-M51)</f>
        <v>0</v>
      </c>
      <c r="N53" s="7">
        <f>MAX(-repayment*(N48-N44),-N51)</f>
        <v>0</v>
      </c>
      <c r="O53" s="7">
        <f>MAX(-repayment*(O48-O44),-O51)</f>
        <v>0</v>
      </c>
      <c r="P53" s="7"/>
    </row>
    <row r="54" spans="1:16">
      <c r="A54" s="9" t="s">
        <v>28</v>
      </c>
      <c r="B54" s="10"/>
      <c r="C54" s="10">
        <f t="shared" ref="C54:E54" si="45">C51+C53</f>
        <v>1478.96</v>
      </c>
      <c r="D54" s="10">
        <f t="shared" si="45"/>
        <v>1197.7045780000001</v>
      </c>
      <c r="E54" s="10">
        <f t="shared" si="45"/>
        <v>897.93615752540018</v>
      </c>
      <c r="F54" s="10">
        <f t="shared" ref="F54" si="46">F51+F53</f>
        <v>575.80829815040022</v>
      </c>
      <c r="G54" s="10">
        <f t="shared" ref="G54" si="47">G51+G53</f>
        <v>224.89404893165027</v>
      </c>
      <c r="H54" s="10">
        <f t="shared" ref="H54" si="48">H51+H53</f>
        <v>0</v>
      </c>
      <c r="I54" s="10">
        <f t="shared" ref="I54" si="49">I51+I53</f>
        <v>0</v>
      </c>
      <c r="J54" s="10">
        <f t="shared" ref="J54" si="50">J51+J53</f>
        <v>0</v>
      </c>
      <c r="K54" s="10">
        <f t="shared" ref="K54" si="51">K51+K53</f>
        <v>0</v>
      </c>
      <c r="L54" s="10">
        <f t="shared" ref="L54" si="52">L51+L53</f>
        <v>0</v>
      </c>
      <c r="M54" s="10">
        <f t="shared" ref="M54" si="53">M51+M53</f>
        <v>0</v>
      </c>
      <c r="N54" s="10">
        <f t="shared" ref="N54" si="54">N51+N53</f>
        <v>0</v>
      </c>
      <c r="O54" s="10">
        <f t="shared" ref="O54" si="55">O51+O53</f>
        <v>0</v>
      </c>
    </row>
    <row r="56" spans="1:16">
      <c r="A56" s="20" t="s">
        <v>44</v>
      </c>
      <c r="B56" s="13">
        <f>B48-B44+B53</f>
        <v>395.95000000000005</v>
      </c>
      <c r="C56" s="13">
        <f t="shared" ref="C56:P56" si="56">C48-C44+C53</f>
        <v>116.16000000000003</v>
      </c>
      <c r="D56" s="13">
        <f t="shared" si="56"/>
        <v>120.53803800000003</v>
      </c>
      <c r="E56" s="13">
        <f t="shared" si="56"/>
        <v>128.4721802034</v>
      </c>
      <c r="F56" s="13">
        <f t="shared" si="56"/>
        <v>138.05479687500002</v>
      </c>
      <c r="G56" s="13">
        <f t="shared" si="56"/>
        <v>150.39182109375002</v>
      </c>
      <c r="H56" s="13">
        <f t="shared" si="56"/>
        <v>335.8535139589747</v>
      </c>
      <c r="I56" s="13">
        <f t="shared" si="56"/>
        <v>642.28293111328128</v>
      </c>
      <c r="J56" s="13">
        <f t="shared" si="56"/>
        <v>750.71229364160172</v>
      </c>
      <c r="K56" s="13">
        <f t="shared" si="56"/>
        <v>892.10813382700201</v>
      </c>
      <c r="L56" s="13">
        <f t="shared" si="56"/>
        <v>1074.1261573812524</v>
      </c>
      <c r="M56" s="13">
        <f t="shared" si="56"/>
        <v>1306.3945878143156</v>
      </c>
      <c r="N56" s="13">
        <f t="shared" si="56"/>
        <v>1601.0014367468698</v>
      </c>
      <c r="O56" s="13">
        <f t="shared" si="56"/>
        <v>1973.1041777146643</v>
      </c>
      <c r="P56" s="13">
        <f t="shared" si="56"/>
        <v>0</v>
      </c>
    </row>
    <row r="57" spans="1:16">
      <c r="A57" s="12"/>
      <c r="B57" s="13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</row>
    <row r="58" spans="1:16">
      <c r="A58" s="17" t="s">
        <v>32</v>
      </c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</row>
    <row r="59" spans="1:16">
      <c r="A59" s="8" t="s">
        <v>35</v>
      </c>
      <c r="C59" s="7">
        <f>C51/B43</f>
        <v>2.6923076923076925</v>
      </c>
      <c r="D59" s="7">
        <f>D51/C43</f>
        <v>2.3199372549019608</v>
      </c>
      <c r="E59" s="7">
        <f>E51/D43</f>
        <v>1.8732427417399806</v>
      </c>
      <c r="F59" s="7">
        <f>F51/E43</f>
        <v>1.3657472808029281</v>
      </c>
      <c r="G59" s="7">
        <f>G51/F43</f>
        <v>0.82938311382440444</v>
      </c>
      <c r="H59" s="7">
        <f>H51/G43</f>
        <v>0.29866063610085869</v>
      </c>
      <c r="I59" s="7">
        <f>I51/H43</f>
        <v>0</v>
      </c>
      <c r="J59" s="7">
        <f>J51/I43</f>
        <v>0</v>
      </c>
      <c r="K59" s="7">
        <f>K51/J43</f>
        <v>0</v>
      </c>
      <c r="L59" s="7">
        <f>L51/K43</f>
        <v>0</v>
      </c>
      <c r="M59" s="7">
        <f>M51/L43</f>
        <v>0</v>
      </c>
      <c r="N59" s="7">
        <f>N51/M43</f>
        <v>0</v>
      </c>
      <c r="O59" s="7">
        <f>O51/N43</f>
        <v>0</v>
      </c>
    </row>
    <row r="60" spans="1:16">
      <c r="A60" s="8" t="s">
        <v>31</v>
      </c>
      <c r="C60" s="7">
        <f>IFERROR(-C43/C46,0)</f>
        <v>5.204081632653061</v>
      </c>
      <c r="D60" s="7">
        <f t="shared" ref="D60:O60" si="57">IFERROR(-D43/D46,0)</f>
        <v>6.1759131899636035</v>
      </c>
      <c r="E60" s="7">
        <f t="shared" si="57"/>
        <v>7.842009529570082</v>
      </c>
      <c r="F60" s="7">
        <f t="shared" si="57"/>
        <v>9.2568124999999988</v>
      </c>
      <c r="G60" s="7">
        <f t="shared" si="57"/>
        <v>10.040115625</v>
      </c>
      <c r="H60" s="7">
        <f t="shared" si="57"/>
        <v>11.17233453125</v>
      </c>
      <c r="I60" s="7">
        <f t="shared" si="57"/>
        <v>12.7253891640625</v>
      </c>
      <c r="J60" s="7">
        <f t="shared" si="57"/>
        <v>14.790710355078126</v>
      </c>
      <c r="K60" s="7">
        <f t="shared" si="57"/>
        <v>17.483964453847658</v>
      </c>
      <c r="L60" s="7">
        <f t="shared" si="57"/>
        <v>20.950974426309571</v>
      </c>
      <c r="M60" s="7">
        <f t="shared" si="57"/>
        <v>25.375135005986966</v>
      </c>
      <c r="N60" s="7">
        <f t="shared" si="57"/>
        <v>30.986694033273707</v>
      </c>
      <c r="O60" s="7">
        <f t="shared" si="57"/>
        <v>38.074365289803133</v>
      </c>
    </row>
    <row r="61" spans="1:16"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</row>
    <row r="62" spans="1:16"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</row>
    <row r="63" spans="1:16"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</row>
    <row r="64" spans="1:16"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</row>
    <row r="65" spans="3:15"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</row>
    <row r="66" spans="3:15"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</row>
    <row r="67" spans="3:15"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Thrower</dc:creator>
  <cp:lastModifiedBy>Will Thrower</cp:lastModifiedBy>
  <dcterms:created xsi:type="dcterms:W3CDTF">2011-12-05T23:42:09Z</dcterms:created>
  <dcterms:modified xsi:type="dcterms:W3CDTF">2011-12-13T00:57:34Z</dcterms:modified>
</cp:coreProperties>
</file>